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édrick hérisson\OneDrive\Bureau\"/>
    </mc:Choice>
  </mc:AlternateContent>
  <xr:revisionPtr revIDLastSave="0" documentId="13_ncr:1_{09068E15-6D4F-45FE-AD6C-43BCB555157B}" xr6:coauthVersionLast="47" xr6:coauthVersionMax="47" xr10:uidLastSave="{00000000-0000-0000-0000-000000000000}"/>
  <workbookProtection workbookAlgorithmName="SHA-512" workbookHashValue="QY1vzB2JCci9PyoTUEEPvugrC6e96KRhVkzz3nrNak/r+GiEr9njU/RXf4br14TAOoU2+DYrbjXmy7YRsGUfGQ==" workbookSaltValue="+Ky6TGdcYVqdANaIOiSQHQ==" workbookSpinCount="100000" lockStructure="1"/>
  <bookViews>
    <workbookView xWindow="-108" yWindow="-108" windowWidth="23256" windowHeight="12456" xr2:uid="{00000000-000D-0000-FFFF-FFFF00000000}"/>
  </bookViews>
  <sheets>
    <sheet name="Comparateur statut juridique" sheetId="8" r:id="rId1"/>
    <sheet name="Mot de passe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8" l="1"/>
  <c r="C17" i="8" l="1"/>
  <c r="E12" i="8" l="1"/>
  <c r="D12" i="8"/>
  <c r="E10" i="8"/>
  <c r="D10" i="8"/>
  <c r="C10" i="8"/>
  <c r="B10" i="8"/>
  <c r="B14" i="8" s="1"/>
  <c r="E9" i="8"/>
  <c r="D9" i="8"/>
  <c r="C9" i="8"/>
  <c r="C21" i="8" s="1"/>
  <c r="B9" i="8"/>
  <c r="D13" i="8" l="1"/>
  <c r="D21" i="8"/>
  <c r="C14" i="8"/>
  <c r="C15" i="8" s="1"/>
  <c r="C27" i="8"/>
  <c r="C18" i="8"/>
  <c r="N23" i="8" s="1"/>
  <c r="O23" i="8"/>
  <c r="O27" i="8" s="1"/>
  <c r="D14" i="8"/>
  <c r="B18" i="8"/>
  <c r="B21" i="8" s="1"/>
  <c r="B15" i="8"/>
  <c r="E21" i="8"/>
  <c r="P23" i="8"/>
  <c r="E13" i="8"/>
  <c r="E14" i="8" s="1"/>
  <c r="O28" i="8" l="1"/>
  <c r="O26" i="8"/>
  <c r="O25" i="8"/>
  <c r="C32" i="8"/>
  <c r="C34" i="8" s="1"/>
  <c r="D15" i="8"/>
  <c r="M32" i="8" s="1"/>
  <c r="D18" i="8"/>
  <c r="E18" i="8"/>
  <c r="E15" i="8"/>
  <c r="N32" i="8" s="1"/>
  <c r="P25" i="8"/>
  <c r="P28" i="8"/>
  <c r="P27" i="8"/>
  <c r="P26" i="8"/>
  <c r="N28" i="8"/>
  <c r="N27" i="8"/>
  <c r="N26" i="8"/>
  <c r="N25" i="8"/>
  <c r="M23" i="8"/>
  <c r="O29" i="8" l="1"/>
  <c r="D25" i="8" s="1"/>
  <c r="D33" i="8" s="1"/>
  <c r="N29" i="8"/>
  <c r="C25" i="8" s="1"/>
  <c r="C30" i="8" s="1"/>
  <c r="C33" i="8" s="1"/>
  <c r="M28" i="8"/>
  <c r="M27" i="8"/>
  <c r="M26" i="8"/>
  <c r="M25" i="8"/>
  <c r="P29" i="8"/>
  <c r="E25" i="8" s="1"/>
  <c r="N33" i="8"/>
  <c r="N34" i="8"/>
  <c r="M33" i="8"/>
  <c r="M34" i="8"/>
  <c r="M29" i="8" l="1"/>
  <c r="B25" i="8" s="1"/>
  <c r="B31" i="8" s="1"/>
  <c r="B33" i="8" s="1"/>
  <c r="N35" i="8"/>
  <c r="E29" i="8" s="1"/>
  <c r="E34" i="8" s="1"/>
  <c r="M35" i="8"/>
  <c r="D29" i="8" s="1"/>
  <c r="D34" i="8" s="1"/>
  <c r="E33" i="8"/>
  <c r="E31" i="8" l="1"/>
  <c r="D31" i="8"/>
</calcChain>
</file>

<file path=xl/sharedStrings.xml><?xml version="1.0" encoding="utf-8"?>
<sst xmlns="http://schemas.openxmlformats.org/spreadsheetml/2006/main" count="86" uniqueCount="71">
  <si>
    <t>TOTAL</t>
  </si>
  <si>
    <t>Chiffre d'affaires</t>
  </si>
  <si>
    <t>Chiffres annuels</t>
  </si>
  <si>
    <t>E.I. au réel</t>
  </si>
  <si>
    <t>E.U.R.L. / S.A.R.L.</t>
  </si>
  <si>
    <t>S.A.S.U. / S.A.S.</t>
  </si>
  <si>
    <r>
      <t xml:space="preserve">Dépenses </t>
    </r>
    <r>
      <rPr>
        <b/>
        <u/>
        <sz val="10"/>
        <color theme="1"/>
        <rFont val="Calibri"/>
        <family val="2"/>
        <scheme val="minor"/>
      </rPr>
      <t>réelles</t>
    </r>
  </si>
  <si>
    <t xml:space="preserve"> + rémunération chef entrep.</t>
  </si>
  <si>
    <t>Total Dépenses réelles</t>
  </si>
  <si>
    <t>Bénéfice réel</t>
  </si>
  <si>
    <t>Quel bénéfice l’administration va-t-elle retenir ?</t>
  </si>
  <si>
    <t>Chiffre d’aff. – dépenses =</t>
  </si>
  <si>
    <t>vente marchandises</t>
  </si>
  <si>
    <t>vente services</t>
  </si>
  <si>
    <t>Tranches IR :</t>
  </si>
  <si>
    <t>EI</t>
  </si>
  <si>
    <t>Auto</t>
  </si>
  <si>
    <t>EURL</t>
  </si>
  <si>
    <t>SASU</t>
  </si>
  <si>
    <t>Début tranche</t>
  </si>
  <si>
    <t>Fin tranche</t>
  </si>
  <si>
    <t>Base : bénéf. moins cotisations</t>
  </si>
  <si>
    <t>Base : bénéf. forfaitaire</t>
  </si>
  <si>
    <t>Base : rémunération</t>
  </si>
  <si>
    <t xml:space="preserve">ou, si option pour le versement libératoire (% du CA) = </t>
  </si>
  <si>
    <t xml:space="preserve">Selon tranches impôt société = </t>
  </si>
  <si>
    <t>ou, si option pour le versement libératoire :</t>
  </si>
  <si>
    <t>Tranches IS :</t>
  </si>
  <si>
    <t>Ce qu’il reste au chef d’entreprise</t>
  </si>
  <si>
    <t xml:space="preserve"> + honoraires comptables*</t>
  </si>
  <si>
    <t xml:space="preserve"> * estimation</t>
  </si>
  <si>
    <t>Micro-entreprise (ex auto-entreprise)</t>
  </si>
  <si>
    <t>Calcul des cotisations sociales chef d'entreprise (estimation)</t>
  </si>
  <si>
    <t>(ou recopiez le lien en cas de problème)</t>
  </si>
  <si>
    <r>
      <t xml:space="preserve">Nature de 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</si>
  <si>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libérale (BNC)</t>
  </si>
  <si>
    <t>Bénéfice réel de la société =</t>
  </si>
  <si>
    <t>Bénéfice réel  =</t>
  </si>
  <si>
    <r>
      <t xml:space="preserve">Bénéfice </t>
    </r>
    <r>
      <rPr>
        <b/>
        <u/>
        <sz val="10"/>
        <color theme="1"/>
        <rFont val="Calibri"/>
        <family val="2"/>
        <scheme val="minor"/>
      </rPr>
      <t>forfaitaire</t>
    </r>
    <r>
      <rPr>
        <sz val="10"/>
        <color theme="1"/>
        <rFont val="Calibri"/>
        <family val="2"/>
        <scheme val="minor"/>
      </rPr>
      <t xml:space="preserve"> =</t>
    </r>
  </si>
  <si>
    <t>autre (commerciale, artisanale…) BIC</t>
  </si>
  <si>
    <r>
      <t xml:space="preserve">Saisissez vos données </t>
    </r>
    <r>
      <rPr>
        <b/>
        <i/>
        <u/>
        <sz val="14"/>
        <color rgb="FFC00000"/>
        <rFont val="Calibri"/>
        <family val="2"/>
        <scheme val="minor"/>
      </rPr>
      <t>annuelles</t>
    </r>
    <r>
      <rPr>
        <b/>
        <i/>
        <sz val="14"/>
        <color rgb="FFC00000"/>
        <rFont val="Calibri"/>
        <family val="2"/>
        <scheme val="minor"/>
      </rPr>
      <t xml:space="preserve"> :</t>
    </r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</si>
  <si>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</si>
  <si>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</si>
  <si>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</si>
  <si>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</si>
  <si>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</si>
  <si>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Chiffre d'affaires annuel prévisionnel :</t>
  </si>
  <si>
    <t xml:space="preserve"> + cotisations sociales chef entrep.</t>
  </si>
  <si>
    <t>Pas de notion de rémunération</t>
  </si>
  <si>
    <t>Voir plus bas</t>
  </si>
  <si>
    <r>
      <t xml:space="preserve">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</si>
  <si>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(1100 € minimum en l'absence de revenu)</t>
  </si>
  <si>
    <t>Votre rémunération annuelle prévue si société :</t>
  </si>
  <si>
    <t>Ensemble des charges fixes et variables annuelles (hors votre rémunération) :</t>
  </si>
  <si>
    <t>Environ 70% du montant du salaire du Président =</t>
  </si>
  <si>
    <t>TOTAL COTISATIONS ET IMPOTS A PAYER</t>
  </si>
  <si>
    <t xml:space="preserve"> ** soumis à prélèvements obligatoires (30%)</t>
  </si>
  <si>
    <t>Calcul de l'impôt sur les sociétés</t>
  </si>
  <si>
    <t>Calcul de l'impôt sur le revenu à payer selon les tranches</t>
  </si>
  <si>
    <t>https://www.business-plan-excel.fr/produit/mot-de-passe-comparateur-statut/</t>
  </si>
  <si>
    <t>Entreprise individuelle (à l'IR)</t>
  </si>
  <si>
    <t>Société (à l'IS)</t>
  </si>
  <si>
    <t>Plafonds de chiffre d'affaires micro-entreprise : 188 700 € (activité commerciale) ; 77 700 € (activité de service ou libérale)</t>
  </si>
  <si>
    <t>Environ 42% du revenu (soit 28% du bénéf réel) =</t>
  </si>
  <si>
    <t>Environ 42% du montant de la rémunération de gérance =</t>
  </si>
  <si>
    <t>Pour déverrouiller ce document, rendez-vous dans l'onglet suivant</t>
  </si>
  <si>
    <t>Comparateur de statuts juridiques (données estimatives 2023-2024)</t>
  </si>
  <si>
    <t>Besoin des conseils d'un spécialiste pour choisir votre statut ?</t>
  </si>
  <si>
    <t>Le mot de passe sera à insérer dans le menu Révision : "Ôter la protection de la feuille" et "Protéger le classeur"</t>
  </si>
  <si>
    <t>Cliquez ici :</t>
  </si>
  <si>
    <t>https://www.business-plan-excel.fr/produit/aide-choix-statut/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</si>
</sst>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sz val="14"/>
      <color rgb="FF77933C"/>
      <name val="Calibri"/>
      <family val="2"/>
      <scheme val="minor"/>
    </font>
    <font>
      <b/>
      <i/>
      <sz val="14"/>
      <color rgb="FF77933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5" fillId="0" borderId="0" xfId="0" applyFont="1"/>
    <xf numFmtId="0" fontId="1" fillId="0" borderId="0" xfId="0" applyFont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6" fontId="12" fillId="0" borderId="6" xfId="0" applyNumberFormat="1" applyFont="1" applyBorder="1" applyAlignment="1">
      <alignment horizontal="center" vertical="center" wrapText="1"/>
    </xf>
    <xf numFmtId="6" fontId="1" fillId="0" borderId="6" xfId="0" applyNumberFormat="1" applyFont="1" applyBorder="1" applyAlignment="1">
      <alignment horizontal="center" vertical="center" wrapText="1"/>
    </xf>
    <xf numFmtId="0" fontId="0" fillId="0" borderId="10" xfId="0" applyBorder="1"/>
    <xf numFmtId="0" fontId="1" fillId="0" borderId="7" xfId="0" applyFont="1" applyBorder="1" applyAlignment="1">
      <alignment horizontal="right"/>
    </xf>
    <xf numFmtId="0" fontId="0" fillId="0" borderId="11" xfId="0" applyBorder="1"/>
    <xf numFmtId="3" fontId="5" fillId="0" borderId="7" xfId="0" applyNumberFormat="1" applyFont="1" applyBorder="1"/>
    <xf numFmtId="0" fontId="10" fillId="0" borderId="4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/>
    </xf>
    <xf numFmtId="0" fontId="0" fillId="0" borderId="7" xfId="0" applyBorder="1"/>
    <xf numFmtId="0" fontId="1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6" fontId="7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6" fontId="2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6" fontId="25" fillId="0" borderId="12" xfId="0" applyNumberFormat="1" applyFont="1" applyBorder="1" applyAlignment="1">
      <alignment horizontal="center" vertical="center" wrapText="1"/>
    </xf>
    <xf numFmtId="6" fontId="25" fillId="0" borderId="4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7" fillId="0" borderId="4" xfId="0" applyNumberFormat="1" applyFont="1" applyBorder="1" applyAlignment="1">
      <alignment horizontal="center" vertical="center" wrapText="1"/>
    </xf>
    <xf numFmtId="3" fontId="28" fillId="0" borderId="6" xfId="0" applyNumberFormat="1" applyFont="1" applyBorder="1" applyAlignment="1">
      <alignment horizontal="center" vertical="top" wrapText="1"/>
    </xf>
    <xf numFmtId="0" fontId="19" fillId="0" borderId="0" xfId="1" applyFont="1" applyFill="1" applyBorder="1" applyAlignment="1">
      <alignment vertical="center" wrapText="1"/>
    </xf>
    <xf numFmtId="0" fontId="3" fillId="0" borderId="0" xfId="0" applyFont="1"/>
    <xf numFmtId="3" fontId="0" fillId="0" borderId="0" xfId="0" applyNumberFormat="1"/>
    <xf numFmtId="0" fontId="29" fillId="0" borderId="0" xfId="1" applyFont="1" applyFill="1" applyBorder="1" applyAlignment="1">
      <alignment vertical="center" wrapText="1"/>
    </xf>
    <xf numFmtId="0" fontId="6" fillId="0" borderId="0" xfId="0" applyFont="1"/>
    <xf numFmtId="3" fontId="30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32" fillId="0" borderId="0" xfId="0" applyFont="1"/>
    <xf numFmtId="3" fontId="2" fillId="3" borderId="7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1" applyFont="1"/>
    <xf numFmtId="0" fontId="38" fillId="0" borderId="0" xfId="0" applyFont="1"/>
    <xf numFmtId="0" fontId="5" fillId="0" borderId="0" xfId="0" applyFont="1" applyAlignment="1">
      <alignment horizontal="center"/>
    </xf>
    <xf numFmtId="0" fontId="8" fillId="0" borderId="0" xfId="1" applyFont="1" applyFill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0" fillId="0" borderId="0" xfId="1" applyFont="1" applyAlignment="1">
      <alignment horizontal="left" vertical="top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6" fontId="25" fillId="0" borderId="12" xfId="0" applyNumberFormat="1" applyFont="1" applyBorder="1" applyAlignment="1">
      <alignment horizontal="center" vertical="center" wrapText="1"/>
    </xf>
    <xf numFmtId="6" fontId="25" fillId="0" borderId="14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39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5367"/>
        </patternFill>
      </fill>
    </dxf>
  </dxfs>
  <tableStyles count="0" defaultTableStyle="TableStyleMedium2" defaultPivotStyle="PivotStyleLight16"/>
  <colors>
    <mruColors>
      <color rgb="FFFF5367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87841</xdr:colOff>
      <xdr:row>0</xdr:row>
      <xdr:rowOff>0</xdr:rowOff>
    </xdr:from>
    <xdr:to>
      <xdr:col>7</xdr:col>
      <xdr:colOff>87841</xdr:colOff>
      <xdr:row>4</xdr:row>
      <xdr:rowOff>113502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66" y="0"/>
          <a:ext cx="2579159" cy="894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F2E635-E9C0-40AD-AE0A-4A2C56D50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ide-choix-statut/" TargetMode="External"/><Relationship Id="rId2" Type="http://schemas.openxmlformats.org/officeDocument/2006/relationships/hyperlink" Target="https://www.business-plan-excel.fr/produit/mot-de-passe-comparateur-statut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showGridLines="0" tabSelected="1" zoomScale="110" zoomScaleNormal="110" workbookViewId="0">
      <selection activeCell="D36" sqref="A4:E36"/>
    </sheetView>
  </sheetViews>
  <sheetFormatPr baseColWidth="10" defaultColWidth="0" defaultRowHeight="15.15" customHeight="1" zeroHeight="1" x14ac:dyDescent="0.3"/>
  <cols>
    <col min="1" max="1" width="30.109375" customWidth="1"/>
    <col min="2" max="5" width="26.33203125" customWidth="1"/>
    <col min="6" max="6" width="2.21875" customWidth="1"/>
    <col min="7" max="7" width="2" customWidth="1"/>
    <col min="8" max="8" width="38.21875" customWidth="1"/>
    <col min="9" max="9" width="2.109375" customWidth="1"/>
    <col min="10" max="10" width="13.6640625" hidden="1" customWidth="1"/>
    <col min="11" max="11" width="12.33203125" hidden="1" customWidth="1"/>
    <col min="12" max="16384" width="11.33203125" hidden="1"/>
  </cols>
  <sheetData>
    <row r="1" spans="1:12" ht="28.8" x14ac:dyDescent="0.55000000000000004">
      <c r="A1" s="56" t="s">
        <v>66</v>
      </c>
    </row>
    <row r="2" spans="1:12" ht="15.15" customHeight="1" x14ac:dyDescent="0.55000000000000004">
      <c r="A2" s="56"/>
    </row>
    <row r="3" spans="1:12" ht="15" thickBot="1" x14ac:dyDescent="0.35"/>
    <row r="4" spans="1:12" ht="21.9" customHeight="1" x14ac:dyDescent="0.3">
      <c r="A4" s="67" t="s">
        <v>2</v>
      </c>
      <c r="B4" s="70" t="s">
        <v>60</v>
      </c>
      <c r="C4" s="71"/>
      <c r="D4" s="70" t="s">
        <v>61</v>
      </c>
      <c r="E4" s="71"/>
    </row>
    <row r="5" spans="1:12" ht="15" thickBot="1" x14ac:dyDescent="0.35">
      <c r="A5" s="68"/>
      <c r="B5" s="72"/>
      <c r="C5" s="73"/>
      <c r="D5" s="72"/>
      <c r="E5" s="73"/>
    </row>
    <row r="6" spans="1:12" ht="18" x14ac:dyDescent="0.35">
      <c r="A6" s="68"/>
      <c r="B6" s="74" t="s">
        <v>3</v>
      </c>
      <c r="C6" s="74" t="s">
        <v>31</v>
      </c>
      <c r="D6" s="74" t="s">
        <v>4</v>
      </c>
      <c r="E6" s="74" t="s">
        <v>5</v>
      </c>
      <c r="H6" s="58" t="s">
        <v>40</v>
      </c>
      <c r="I6" s="5"/>
    </row>
    <row r="7" spans="1:12" ht="15.15" customHeight="1" x14ac:dyDescent="0.3">
      <c r="A7" s="68"/>
      <c r="B7" s="75"/>
      <c r="C7" s="75"/>
      <c r="D7" s="75"/>
      <c r="E7" s="75"/>
    </row>
    <row r="8" spans="1:12" ht="15.75" customHeight="1" thickBot="1" x14ac:dyDescent="0.35">
      <c r="A8" s="69"/>
      <c r="B8" s="76"/>
      <c r="C8" s="76"/>
      <c r="D8" s="76"/>
      <c r="E8" s="76"/>
      <c r="H8" s="6" t="s">
        <v>46</v>
      </c>
      <c r="I8" s="6"/>
    </row>
    <row r="9" spans="1:12" ht="16.2" thickBot="1" x14ac:dyDescent="0.35">
      <c r="A9" s="20" t="s">
        <v>1</v>
      </c>
      <c r="B9" s="7">
        <f>$H$9</f>
        <v>80000</v>
      </c>
      <c r="C9" s="7">
        <f>$H$9</f>
        <v>80000</v>
      </c>
      <c r="D9" s="7">
        <f>$H$9</f>
        <v>80000</v>
      </c>
      <c r="E9" s="7">
        <f>$H$9</f>
        <v>80000</v>
      </c>
      <c r="H9" s="57">
        <v>80000</v>
      </c>
      <c r="I9" s="8"/>
      <c r="L9" s="51"/>
    </row>
    <row r="10" spans="1:12" ht="26.4" customHeight="1" x14ac:dyDescent="0.3">
      <c r="A10" s="12" t="s">
        <v>6</v>
      </c>
      <c r="B10" s="9">
        <f>$H$12</f>
        <v>28000</v>
      </c>
      <c r="C10" s="9">
        <f>$H$12</f>
        <v>28000</v>
      </c>
      <c r="D10" s="9">
        <f>$H$12</f>
        <v>28000</v>
      </c>
      <c r="E10" s="9">
        <f>$H$12</f>
        <v>28000</v>
      </c>
      <c r="H10" s="77" t="s">
        <v>53</v>
      </c>
      <c r="I10" s="6"/>
    </row>
    <row r="11" spans="1:12" ht="14.4" x14ac:dyDescent="0.3">
      <c r="A11" s="14" t="s">
        <v>29</v>
      </c>
      <c r="B11" s="10">
        <v>2200</v>
      </c>
      <c r="C11" s="10"/>
      <c r="D11" s="10">
        <v>2600</v>
      </c>
      <c r="E11" s="10">
        <v>2800</v>
      </c>
      <c r="H11" s="78"/>
      <c r="I11" s="6"/>
    </row>
    <row r="12" spans="1:12" ht="15.6" x14ac:dyDescent="0.3">
      <c r="A12" s="14" t="s">
        <v>7</v>
      </c>
      <c r="B12" s="10" t="s">
        <v>48</v>
      </c>
      <c r="C12" s="10" t="s">
        <v>48</v>
      </c>
      <c r="D12" s="54">
        <f>$H$15</f>
        <v>16000</v>
      </c>
      <c r="E12" s="54">
        <f>$H$15</f>
        <v>16000</v>
      </c>
      <c r="H12" s="57">
        <v>28000</v>
      </c>
      <c r="I12" s="8"/>
      <c r="L12" t="s">
        <v>35</v>
      </c>
    </row>
    <row r="13" spans="1:12" ht="14.4" x14ac:dyDescent="0.3">
      <c r="A13" s="14" t="s">
        <v>47</v>
      </c>
      <c r="B13" s="55" t="s">
        <v>49</v>
      </c>
      <c r="C13" s="55" t="s">
        <v>49</v>
      </c>
      <c r="D13" s="10">
        <f>D12*42%</f>
        <v>6720</v>
      </c>
      <c r="E13" s="10">
        <f>E12*70%</f>
        <v>11200</v>
      </c>
      <c r="H13" s="6"/>
      <c r="I13" s="6"/>
      <c r="L13" t="s">
        <v>39</v>
      </c>
    </row>
    <row r="14" spans="1:12" ht="15" thickBot="1" x14ac:dyDescent="0.35">
      <c r="A14" s="20" t="s">
        <v>8</v>
      </c>
      <c r="B14" s="7">
        <f>SUM(B10:B13)</f>
        <v>30200</v>
      </c>
      <c r="C14" s="7">
        <f>SUM(C10:C13)</f>
        <v>28000</v>
      </c>
      <c r="D14" s="7">
        <f>SUM(D10:D13)</f>
        <v>53320</v>
      </c>
      <c r="E14" s="7">
        <f>SUM(E10:E13)</f>
        <v>58000</v>
      </c>
      <c r="H14" s="6" t="s">
        <v>52</v>
      </c>
      <c r="I14" s="6"/>
    </row>
    <row r="15" spans="1:12" ht="16.2" thickBot="1" x14ac:dyDescent="0.35">
      <c r="A15" s="11" t="s">
        <v>9</v>
      </c>
      <c r="B15" s="46">
        <f>B9-B14</f>
        <v>49800</v>
      </c>
      <c r="C15" s="46">
        <f>C9-C14</f>
        <v>52000</v>
      </c>
      <c r="D15" s="46">
        <f>D9-D14</f>
        <v>26680</v>
      </c>
      <c r="E15" s="46">
        <f>E9-E14</f>
        <v>22000</v>
      </c>
      <c r="H15" s="57">
        <v>16000</v>
      </c>
      <c r="I15" s="8"/>
    </row>
    <row r="16" spans="1:12" ht="25.5" customHeight="1" x14ac:dyDescent="0.3">
      <c r="A16" s="87" t="s">
        <v>10</v>
      </c>
      <c r="B16" s="13" t="s">
        <v>37</v>
      </c>
      <c r="C16" s="13" t="s">
        <v>38</v>
      </c>
      <c r="D16" s="13" t="s">
        <v>36</v>
      </c>
      <c r="E16" s="13" t="s">
        <v>36</v>
      </c>
      <c r="H16" s="6"/>
      <c r="I16" s="6"/>
    </row>
    <row r="17" spans="1:16" ht="14.4" x14ac:dyDescent="0.3">
      <c r="A17" s="88"/>
      <c r="B17" s="13" t="s">
        <v>11</v>
      </c>
      <c r="C17" s="30" t="str">
        <f>IF(H21="libérale (BNC)","66%",IF($H$18="vente marchandises","29%","50%")&amp;" du chiffre d’affaires")</f>
        <v>50% du chiffre d’affaires</v>
      </c>
      <c r="D17" s="13" t="s">
        <v>11</v>
      </c>
      <c r="E17" s="13" t="s">
        <v>11</v>
      </c>
      <c r="H17" s="6" t="s">
        <v>50</v>
      </c>
      <c r="I17" s="6"/>
      <c r="L17" t="s">
        <v>12</v>
      </c>
      <c r="M17" s="15">
        <v>0.28999999999999998</v>
      </c>
      <c r="N17" s="16">
        <v>0.125</v>
      </c>
      <c r="O17" s="15">
        <v>0.01</v>
      </c>
    </row>
    <row r="18" spans="1:16" ht="15.6" x14ac:dyDescent="0.3">
      <c r="A18" s="88"/>
      <c r="B18" s="45">
        <f>B9-B14</f>
        <v>49800</v>
      </c>
      <c r="C18" s="45">
        <f>C9*IF(H21="libérale (BNC)",66%,IF($H$18="vente marchandises",29%,50%))</f>
        <v>40000</v>
      </c>
      <c r="D18" s="45">
        <f>D9-D14</f>
        <v>26680</v>
      </c>
      <c r="E18" s="45">
        <f>E9-E14</f>
        <v>22000</v>
      </c>
      <c r="H18" s="57" t="s">
        <v>13</v>
      </c>
      <c r="I18" s="8"/>
      <c r="L18" t="s">
        <v>13</v>
      </c>
      <c r="M18" s="15">
        <v>0.5</v>
      </c>
      <c r="N18" s="16">
        <v>0.22</v>
      </c>
      <c r="O18" s="16">
        <v>1.7000000000000001E-2</v>
      </c>
    </row>
    <row r="19" spans="1:16" ht="15" thickBot="1" x14ac:dyDescent="0.35">
      <c r="A19" s="17"/>
      <c r="B19" s="18"/>
      <c r="C19" s="19"/>
      <c r="D19" s="19"/>
      <c r="E19" s="18"/>
    </row>
    <row r="20" spans="1:16" ht="27.75" customHeight="1" x14ac:dyDescent="0.3">
      <c r="A20" s="88" t="s">
        <v>32</v>
      </c>
      <c r="B20" s="13" t="s">
        <v>63</v>
      </c>
      <c r="C20" s="13" t="str">
        <f>IF($H$18="vente marchandises","12,5%","22%")&amp;" du chiffre d’affaires ="</f>
        <v>22% du chiffre d’affaires =</v>
      </c>
      <c r="D20" s="13" t="s">
        <v>64</v>
      </c>
      <c r="E20" s="13" t="s">
        <v>54</v>
      </c>
      <c r="H20" s="6" t="s">
        <v>34</v>
      </c>
    </row>
    <row r="21" spans="1:16" ht="15.15" customHeight="1" x14ac:dyDescent="0.3">
      <c r="A21" s="88"/>
      <c r="B21" s="47">
        <f>IF(28%*B18&lt;1103,1100,(28%*B18))</f>
        <v>13944.000000000002</v>
      </c>
      <c r="C21" s="47">
        <f>IF($H$18="vente marchandises",12.5%,22%)*C9</f>
        <v>17600</v>
      </c>
      <c r="D21" s="47">
        <f>IF(42%*D12&lt;1103,1100,42%*D12)</f>
        <v>6720</v>
      </c>
      <c r="E21" s="47">
        <f>70%*E12</f>
        <v>11200</v>
      </c>
      <c r="H21" s="57" t="s">
        <v>39</v>
      </c>
    </row>
    <row r="22" spans="1:16" ht="28.65" customHeight="1" thickBot="1" x14ac:dyDescent="0.35">
      <c r="A22" s="89"/>
      <c r="B22" s="21" t="s">
        <v>51</v>
      </c>
      <c r="C22" s="22"/>
      <c r="D22" s="21" t="s">
        <v>51</v>
      </c>
      <c r="E22" s="18"/>
      <c r="H22" s="49"/>
      <c r="J22" s="1" t="s">
        <v>14</v>
      </c>
      <c r="L22" s="23"/>
      <c r="M22" s="24" t="s">
        <v>15</v>
      </c>
      <c r="N22" s="24" t="s">
        <v>16</v>
      </c>
      <c r="O22" s="24" t="s">
        <v>17</v>
      </c>
      <c r="P22" s="24" t="s">
        <v>18</v>
      </c>
    </row>
    <row r="23" spans="1:16" ht="15.15" customHeight="1" x14ac:dyDescent="0.3">
      <c r="A23" s="14"/>
      <c r="B23" s="13"/>
      <c r="C23" s="13"/>
      <c r="D23" s="13"/>
      <c r="E23" s="13"/>
      <c r="H23" s="52"/>
      <c r="J23" s="63" t="s">
        <v>19</v>
      </c>
      <c r="K23" s="63" t="s">
        <v>20</v>
      </c>
      <c r="L23" s="25"/>
      <c r="M23" s="26">
        <f>B18-B21</f>
        <v>35856</v>
      </c>
      <c r="N23" s="26">
        <f>C18</f>
        <v>40000</v>
      </c>
      <c r="O23" s="26">
        <f>D12</f>
        <v>16000</v>
      </c>
      <c r="P23" s="26">
        <f>E12</f>
        <v>16000</v>
      </c>
    </row>
    <row r="24" spans="1:16" ht="15.15" customHeight="1" x14ac:dyDescent="0.3">
      <c r="A24" s="88" t="s">
        <v>58</v>
      </c>
      <c r="B24" s="27" t="s">
        <v>21</v>
      </c>
      <c r="C24" s="27" t="s">
        <v>22</v>
      </c>
      <c r="D24" s="27" t="s">
        <v>23</v>
      </c>
      <c r="E24" s="27" t="s">
        <v>23</v>
      </c>
      <c r="H24" s="52"/>
      <c r="J24" s="3">
        <v>0</v>
      </c>
      <c r="K24" s="3">
        <v>10777</v>
      </c>
      <c r="L24" s="28">
        <v>0</v>
      </c>
      <c r="M24" s="29">
        <v>0</v>
      </c>
      <c r="N24" s="29">
        <v>0</v>
      </c>
      <c r="O24" s="29">
        <v>0</v>
      </c>
      <c r="P24" s="29">
        <v>0</v>
      </c>
    </row>
    <row r="25" spans="1:16" ht="15.15" customHeight="1" x14ac:dyDescent="0.3">
      <c r="A25" s="88"/>
      <c r="B25" s="47">
        <f>M29</f>
        <v>4350.1000000000004</v>
      </c>
      <c r="C25" s="47">
        <f>N29</f>
        <v>5593.2999999999993</v>
      </c>
      <c r="D25" s="47">
        <f>O29</f>
        <v>574.41999999999996</v>
      </c>
      <c r="E25" s="47">
        <f>P29</f>
        <v>574.41999999999996</v>
      </c>
      <c r="H25" s="52"/>
      <c r="J25" s="3">
        <v>10778</v>
      </c>
      <c r="K25" s="3">
        <v>27478</v>
      </c>
      <c r="L25" s="28">
        <v>0.11</v>
      </c>
      <c r="M25" s="29">
        <f t="shared" ref="M25:P28" si="0">IF(M$23&gt;$K25,($K25-$J25)*$L25,IF(AND(M$23&gt;$J25,M$23&lt;$K25),(M$23-$J25)*$L25,0))</f>
        <v>1837</v>
      </c>
      <c r="N25" s="29">
        <f t="shared" si="0"/>
        <v>1837</v>
      </c>
      <c r="O25" s="29">
        <f t="shared" si="0"/>
        <v>574.41999999999996</v>
      </c>
      <c r="P25" s="29">
        <f t="shared" si="0"/>
        <v>574.41999999999996</v>
      </c>
    </row>
    <row r="26" spans="1:16" ht="43.2" x14ac:dyDescent="0.3">
      <c r="A26" s="88"/>
      <c r="B26" s="30"/>
      <c r="C26" s="31" t="s">
        <v>24</v>
      </c>
      <c r="D26" s="32"/>
      <c r="E26" s="32"/>
      <c r="H26" s="64" t="s">
        <v>62</v>
      </c>
      <c r="J26" s="3">
        <v>27479</v>
      </c>
      <c r="K26" s="3">
        <v>78570</v>
      </c>
      <c r="L26" s="28">
        <v>0.3</v>
      </c>
      <c r="M26" s="29">
        <f t="shared" si="0"/>
        <v>2513.1</v>
      </c>
      <c r="N26" s="29">
        <f t="shared" si="0"/>
        <v>3756.2999999999997</v>
      </c>
      <c r="O26" s="29">
        <f t="shared" si="0"/>
        <v>0</v>
      </c>
      <c r="P26" s="29">
        <f t="shared" si="0"/>
        <v>0</v>
      </c>
    </row>
    <row r="27" spans="1:16" ht="15.75" customHeight="1" thickBot="1" x14ac:dyDescent="0.35">
      <c r="A27" s="17"/>
      <c r="B27" s="33"/>
      <c r="C27" s="48">
        <f>C9*IF(H21="libérale (BNC)",2.2%,IF($H$18="vente marchandises",1%,1.7%))</f>
        <v>1360</v>
      </c>
      <c r="D27" s="18"/>
      <c r="E27" s="18"/>
      <c r="H27" s="49"/>
      <c r="J27" s="3">
        <v>78571</v>
      </c>
      <c r="K27" s="3">
        <v>168994</v>
      </c>
      <c r="L27" s="28">
        <v>0.41</v>
      </c>
      <c r="M27" s="29">
        <f>IF(M$23&gt;$K27,($K27-$J27)*$L27,IF(AND(M$23&gt;$J27,M$23&lt;$K27),(M$23-$J27)*$L27,0))</f>
        <v>0</v>
      </c>
      <c r="N27" s="29">
        <f t="shared" si="0"/>
        <v>0</v>
      </c>
      <c r="O27" s="29">
        <f t="shared" si="0"/>
        <v>0</v>
      </c>
      <c r="P27" s="29">
        <f t="shared" si="0"/>
        <v>0</v>
      </c>
    </row>
    <row r="28" spans="1:16" ht="21.9" customHeight="1" x14ac:dyDescent="0.3">
      <c r="A28" s="87" t="s">
        <v>57</v>
      </c>
      <c r="B28" s="90"/>
      <c r="C28" s="90"/>
      <c r="D28" s="13" t="s">
        <v>25</v>
      </c>
      <c r="E28" s="13" t="s">
        <v>25</v>
      </c>
      <c r="H28" s="49"/>
      <c r="J28" s="3">
        <v>168995</v>
      </c>
      <c r="K28" s="3">
        <v>99999999999</v>
      </c>
      <c r="L28" s="28">
        <v>0.45</v>
      </c>
      <c r="M28" s="29">
        <f>IF(M$23&gt;$K28,($K28-$J28)*$L28,IF(AND(M$23&gt;$J28,M$23&lt;$K28),(M$23-$J28)*$L28,0))</f>
        <v>0</v>
      </c>
      <c r="N28" s="29">
        <f t="shared" si="0"/>
        <v>0</v>
      </c>
      <c r="O28" s="29">
        <f t="shared" si="0"/>
        <v>0</v>
      </c>
      <c r="P28" s="29">
        <f t="shared" si="0"/>
        <v>0</v>
      </c>
    </row>
    <row r="29" spans="1:16" ht="15.75" customHeight="1" thickBot="1" x14ac:dyDescent="0.35">
      <c r="A29" s="89"/>
      <c r="B29" s="91"/>
      <c r="C29" s="91"/>
      <c r="D29" s="34">
        <f>M35</f>
        <v>4002</v>
      </c>
      <c r="E29" s="34">
        <f>N35</f>
        <v>3300</v>
      </c>
      <c r="H29" s="79"/>
      <c r="L29" s="35" t="s">
        <v>0</v>
      </c>
      <c r="M29" s="29">
        <f>+SUM(M24:M28)</f>
        <v>4350.1000000000004</v>
      </c>
      <c r="N29" s="29">
        <f>+SUM(N24:N28)</f>
        <v>5593.2999999999993</v>
      </c>
      <c r="O29" s="29">
        <f>+SUM(O24:O28)</f>
        <v>574.41999999999996</v>
      </c>
      <c r="P29" s="29">
        <f>+SUM(P24:P28)</f>
        <v>574.41999999999996</v>
      </c>
    </row>
    <row r="30" spans="1:16" ht="18" x14ac:dyDescent="0.3">
      <c r="A30" s="80" t="s">
        <v>55</v>
      </c>
      <c r="B30" s="36"/>
      <c r="C30" s="37">
        <f>C21+C25</f>
        <v>23193.3</v>
      </c>
      <c r="D30" s="36"/>
      <c r="E30" s="36"/>
      <c r="H30" s="79"/>
    </row>
    <row r="31" spans="1:16" ht="27.6" x14ac:dyDescent="0.3">
      <c r="A31" s="81"/>
      <c r="B31" s="37">
        <f>B25+B21</f>
        <v>18294.100000000002</v>
      </c>
      <c r="C31" s="38" t="s">
        <v>26</v>
      </c>
      <c r="D31" s="37">
        <f>D21+D25+D29</f>
        <v>11296.42</v>
      </c>
      <c r="E31" s="37">
        <f>E21+E25+E29</f>
        <v>15074.42</v>
      </c>
      <c r="H31" s="79"/>
      <c r="J31" s="1" t="s">
        <v>27</v>
      </c>
      <c r="L31" s="23"/>
      <c r="M31" s="24" t="s">
        <v>17</v>
      </c>
      <c r="N31" s="24" t="s">
        <v>18</v>
      </c>
    </row>
    <row r="32" spans="1:16" ht="18.600000000000001" thickBot="1" x14ac:dyDescent="0.35">
      <c r="A32" s="82"/>
      <c r="B32" s="39"/>
      <c r="C32" s="40">
        <f>C21+C27</f>
        <v>18960</v>
      </c>
      <c r="D32" s="39"/>
      <c r="E32" s="39"/>
      <c r="J32" s="2" t="s">
        <v>19</v>
      </c>
      <c r="K32" s="2" t="s">
        <v>20</v>
      </c>
      <c r="L32" s="25"/>
      <c r="M32" s="26">
        <f>D15</f>
        <v>26680</v>
      </c>
      <c r="N32" s="26">
        <f>E15</f>
        <v>22000</v>
      </c>
    </row>
    <row r="33" spans="1:14" ht="18.600000000000001" thickBot="1" x14ac:dyDescent="0.35">
      <c r="A33" s="83" t="s">
        <v>28</v>
      </c>
      <c r="B33" s="85">
        <f>B18-B31</f>
        <v>31505.899999999998</v>
      </c>
      <c r="C33" s="41">
        <f>C15-C30</f>
        <v>28806.7</v>
      </c>
      <c r="D33" s="42">
        <f>+D12-D25</f>
        <v>15425.58</v>
      </c>
      <c r="E33" s="42">
        <f>+E12-E25</f>
        <v>15425.58</v>
      </c>
      <c r="J33">
        <v>0</v>
      </c>
      <c r="K33">
        <v>42500</v>
      </c>
      <c r="L33" s="28">
        <v>0.15</v>
      </c>
      <c r="M33" s="29">
        <f>IF((IF(M$32&gt;$K33,$K33*$L33,M$32*$L$33))&lt;0,0,IF(M$32&gt;$K33,$K33*$L33,M$32*$L$33))</f>
        <v>4002</v>
      </c>
      <c r="N33" s="29">
        <f>IF((IF(N$32&gt;$K33,$K33*$L33,N$32*$L$33))&lt;0,0,IF(N$32&gt;$K33,$K33*$L33,N$32*$L$33))</f>
        <v>3300</v>
      </c>
    </row>
    <row r="34" spans="1:14" ht="45.75" customHeight="1" thickBot="1" x14ac:dyDescent="0.35">
      <c r="A34" s="84"/>
      <c r="B34" s="86"/>
      <c r="C34" s="43" t="str">
        <f>"ou "&amp;(C15-C32)&amp;" € (si versement libératoire)"</f>
        <v>ou 33040 € (si versement libératoire)</v>
      </c>
      <c r="D34" s="44" t="str">
        <f>"+ "&amp;IF((D18-D29)&lt;0,0,(D18-D29))&amp;" € de bénéfice distribuable**"</f>
        <v>+ 22678 € de bénéfice distribuable**</v>
      </c>
      <c r="E34" s="44" t="str">
        <f>"+ "&amp;IF((E18-E29)&lt;0,0,(E18-E29))&amp;" € de bénéfice distribuable**"</f>
        <v>+ 18700 € de bénéfice distribuable**</v>
      </c>
      <c r="H34" s="65" t="s">
        <v>65</v>
      </c>
      <c r="J34">
        <v>42501</v>
      </c>
      <c r="K34">
        <v>1000000</v>
      </c>
      <c r="L34" s="28">
        <v>0.25</v>
      </c>
      <c r="M34" s="29">
        <f>IF(M$32&gt;$K33,(M$32-$J$34)*$L34,0)</f>
        <v>0</v>
      </c>
      <c r="N34" s="29">
        <f>IF(N$32&gt;$K33,(N$32-$J$34)*$L34,0)</f>
        <v>0</v>
      </c>
    </row>
    <row r="35" spans="1:14" ht="4.8" customHeight="1" x14ac:dyDescent="0.3">
      <c r="L35" s="35" t="s">
        <v>0</v>
      </c>
      <c r="M35" s="29">
        <f>SUM(M33:M34)</f>
        <v>4002</v>
      </c>
      <c r="N35" s="29">
        <f>SUM(N33:N34)</f>
        <v>3300</v>
      </c>
    </row>
    <row r="36" spans="1:14" ht="14.4" x14ac:dyDescent="0.3">
      <c r="A36" s="2" t="s">
        <v>30</v>
      </c>
      <c r="D36" s="66" t="s">
        <v>56</v>
      </c>
      <c r="E36" s="66"/>
    </row>
    <row r="37" spans="1:14" ht="14.4" x14ac:dyDescent="0.3"/>
  </sheetData>
  <sheetProtection algorithmName="SHA-512" hashValue="oN0QJfQhJdoFgMESTsUyC7YDwfMBbGm1emyQUt5zAuiQGMOMvBM33sk5l9l7HoCsAQB5IWkn0P3ZEJCZlcJsng==" saltValue="xuaYnf2p09bTSdJp5xpllA==" spinCount="100000" sheet="1" objects="1" scenarios="1"/>
  <mergeCells count="19">
    <mergeCell ref="H10:H11"/>
    <mergeCell ref="H29:H31"/>
    <mergeCell ref="A30:A32"/>
    <mergeCell ref="A33:A34"/>
    <mergeCell ref="B33:B34"/>
    <mergeCell ref="A16:A18"/>
    <mergeCell ref="A20:A22"/>
    <mergeCell ref="A24:A26"/>
    <mergeCell ref="A28:A29"/>
    <mergeCell ref="B28:B29"/>
    <mergeCell ref="C28:C29"/>
    <mergeCell ref="D36:E36"/>
    <mergeCell ref="A4:A8"/>
    <mergeCell ref="B4:C5"/>
    <mergeCell ref="D4:E5"/>
    <mergeCell ref="B6:B8"/>
    <mergeCell ref="C6:C8"/>
    <mergeCell ref="D6:D8"/>
    <mergeCell ref="E6:E8"/>
  </mergeCells>
  <conditionalFormatting sqref="C9">
    <cfRule type="cellIs" dxfId="0" priority="1" operator="greaterThan">
      <formula>170000</formula>
    </cfRule>
  </conditionalFormatting>
  <dataValidations count="2">
    <dataValidation type="list" allowBlank="1" showInputMessage="1" showErrorMessage="1" sqref="H18:I18" xr:uid="{00000000-0002-0000-0000-000000000000}">
      <formula1>$L$17:$L$18</formula1>
    </dataValidation>
    <dataValidation type="list" allowBlank="1" showInputMessage="1" showErrorMessage="1" sqref="H21" xr:uid="{00000000-0002-0000-0000-000001000000}">
      <formula1>$L$12:$L$13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CB83-8A55-4E9F-B7E0-FE05A6557C8B}">
  <dimension ref="A6:I27"/>
  <sheetViews>
    <sheetView showGridLines="0" zoomScale="110" zoomScaleNormal="110" workbookViewId="0">
      <selection activeCell="A23" sqref="A23"/>
    </sheetView>
  </sheetViews>
  <sheetFormatPr baseColWidth="10" defaultRowHeight="14.4" x14ac:dyDescent="0.3"/>
  <cols>
    <col min="8" max="8" width="35.44140625" customWidth="1"/>
  </cols>
  <sheetData>
    <row r="6" spans="1:9" ht="28.35" customHeight="1" x14ac:dyDescent="0.3"/>
    <row r="7" spans="1:9" ht="21" x14ac:dyDescent="0.4">
      <c r="A7" s="59" t="s">
        <v>41</v>
      </c>
    </row>
    <row r="8" spans="1:9" ht="9.75" customHeight="1" x14ac:dyDescent="0.35">
      <c r="A8" s="50"/>
    </row>
    <row r="9" spans="1:9" ht="18" x14ac:dyDescent="0.35">
      <c r="B9" s="60" t="s">
        <v>42</v>
      </c>
    </row>
    <row r="10" spans="1:9" ht="18.75" customHeight="1" x14ac:dyDescent="0.35">
      <c r="B10" s="1"/>
      <c r="C10" s="92" t="s">
        <v>59</v>
      </c>
      <c r="D10" s="92"/>
      <c r="E10" s="92"/>
      <c r="F10" s="92"/>
      <c r="G10" s="92"/>
      <c r="H10" s="92"/>
      <c r="I10" s="53" t="s">
        <v>33</v>
      </c>
    </row>
    <row r="12" spans="1:9" x14ac:dyDescent="0.3">
      <c r="C12" s="2" t="s">
        <v>68</v>
      </c>
    </row>
    <row r="14" spans="1:9" ht="24.3" customHeight="1" x14ac:dyDescent="0.3"/>
    <row r="15" spans="1:9" ht="21" x14ac:dyDescent="0.4">
      <c r="A15" s="59" t="s">
        <v>67</v>
      </c>
    </row>
    <row r="16" spans="1:9" ht="13.8" customHeight="1" x14ac:dyDescent="0.35">
      <c r="A16" s="50"/>
    </row>
    <row r="17" spans="1:8" ht="18" x14ac:dyDescent="0.35">
      <c r="B17" s="60" t="s">
        <v>69</v>
      </c>
    </row>
    <row r="18" spans="1:8" ht="18" x14ac:dyDescent="0.35">
      <c r="B18" s="1"/>
      <c r="C18" s="92" t="s">
        <v>70</v>
      </c>
      <c r="D18" s="92"/>
      <c r="E18" s="92"/>
      <c r="F18" s="92"/>
      <c r="G18" s="92"/>
      <c r="H18" s="92"/>
    </row>
    <row r="25" spans="1:8" x14ac:dyDescent="0.3">
      <c r="A25" s="4" t="s">
        <v>43</v>
      </c>
    </row>
    <row r="26" spans="1:8" x14ac:dyDescent="0.3">
      <c r="A26" s="61" t="s">
        <v>44</v>
      </c>
    </row>
    <row r="27" spans="1:8" x14ac:dyDescent="0.3">
      <c r="A27" s="62" t="s">
        <v>45</v>
      </c>
    </row>
  </sheetData>
  <sheetProtection algorithmName="SHA-512" hashValue="sPLwj0INKqJURpqhVlMJc9dcylcNtogeu1deoVCoaOc1q5FDFgwnuTB3F+UIlMCeHXjFzOwoZnJ8nBQzh2aamA==" saltValue="0U0o4TnxsvPVKQlKySPSaQ==" spinCount="100000" sheet="1" objects="1" scenarios="1"/>
  <mergeCells count="2">
    <mergeCell ref="C10:H10"/>
    <mergeCell ref="C18:H18"/>
  </mergeCells>
  <hyperlinks>
    <hyperlink ref="A26" r:id="rId1" xr:uid="{EEC258DD-06A6-4375-829C-047D3E8D1C86}"/>
    <hyperlink ref="C10" r:id="rId2" xr:uid="{93FFAEFF-D3B4-48CF-9D96-455DF52765F0}"/>
    <hyperlink ref="C18" r:id="rId3" xr:uid="{3C2D5FAF-DDD0-44A1-8F1D-3E6E5B109E1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Comparateur statut juridique</vt:lpstr>
      <vt:lpstr>Mot de passe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direction</cp:lastModifiedBy>
  <cp:lastPrinted>2022-10-04T13:21:14Z</cp:lastPrinted>
  <dcterms:created xsi:type="dcterms:W3CDTF">2016-07-10T11:43:10Z</dcterms:created>
  <dcterms:modified xsi:type="dcterms:W3CDTF">2023-10-27T13:34:56Z</dcterms:modified>
</cp:coreProperties>
</file>